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png" ContentType="image/pn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Override PartName="/xl/worksheets/sheet1.xml" ContentType="application/vnd.openxmlformats-officedocument.spreadsheetml.worksheet+xml"/>
  <Override PartName="/xl/comments2.xml" ContentType="application/vnd.openxmlformats-officedocument.spreadsheetml.comments+xml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silvi\Downloads\"/>
    </mc:Choice>
  </mc:AlternateContent>
  <bookViews>
    <workbookView xWindow="-110" yWindow="-110" windowWidth="19420" windowHeight="10420" activeTab="0"/>
  </bookViews>
  <sheets>
    <sheet name="דיווח דיגומים" sheetId="1" r:id="rId3"/>
    <sheet name="דיווח חריגים" sheetId="2" r:id="rId4"/>
    <sheet name="תוצאות דיגומים אסורים" sheetId="3" r:id="rId5"/>
    <sheet name="דיווח כספי שנתי" sheetId="4" r:id="rId6"/>
  </sheets>
  <definedNames>
    <definedName name="_xlnm._FilterDatabase" localSheetId="0" hidden="1">'דיווח דיגומים'!$A$2:$M$15</definedName>
    <definedName name="_xlnm._FilterDatabase" localSheetId="1" hidden="1">'דיווח חריגים'!$A$3:$L$16</definedName>
    <definedName name="_xlnm._FilterDatabase" localSheetId="3" hidden="1">'דיווח כספי שנתי'!$A$2:$K$16</definedName>
    <definedName name="_xlnm._FilterDatabase" localSheetId="2" hidden="1">'תוצאות דיגומים אסורים'!$A$2:$G$20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ohad</author>
    <author>tamir</author>
  </authors>
  <commentList>
    <comment ref="J4" authorId="0" shapeId="0" xr:uid="{00000000-0006-0000-0000-000003000000}">
      <text>
        <r>
          <rPr>
            <b/>
            <sz val="9"/>
            <rFont val="Tahoma"/>
            <family val="2"/>
          </rPr>
          <t xml:space="preserve">מרץ 208
יוני 2018
</t>
        </r>
        <r>
          <rPr>
            <sz val="9"/>
            <rFont val="Tahoma"/>
            <family val="2"/>
          </rPr>
          <t xml:space="preserve">
</t>
        </r>
      </text>
    </comment>
    <comment ref="K4" authorId="0" shapeId="0" xr:uid="{00000000-0006-0000-0000-000004000000}">
      <text>
        <r>
          <rPr>
            <b/>
            <sz val="9"/>
            <rFont val="Tahoma"/>
            <family val="2"/>
          </rPr>
          <t xml:space="preserve">מרץ 2018
יוני 2018
יולי 2018
</t>
        </r>
        <r>
          <rPr>
            <sz val="9"/>
            <rFont val="Tahoma"/>
            <family val="2"/>
          </rPr>
          <t xml:space="preserve">
</t>
        </r>
      </text>
    </comment>
    <comment ref="B11" authorId="1" shapeId="0" xr:uid="{00000000-0006-0000-0000-000005000000}">
      <text>
        <r>
          <rPr>
            <b/>
            <sz val="9"/>
            <rFont val="Tahoma"/>
            <family val="2"/>
          </rPr>
          <t>שתי שוחות דיגום דרומית וצפונית</t>
        </r>
      </text>
    </comment>
    <comment ref="B12" authorId="1" shapeId="0" xr:uid="{00000000-0006-0000-0000-000006000000}">
      <text>
        <r>
          <rPr>
            <b/>
            <sz val="9"/>
            <rFont val="Tahoma"/>
            <family val="2"/>
          </rPr>
          <t>שתי שוחות דיגום דרומית וצפונית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ohad</author>
    <author>tamir</author>
  </authors>
  <commentList>
    <comment ref="K6" authorId="0" shapeId="0" xr:uid="{00000000-0006-0000-0100-000001000000}">
      <text>
        <r>
          <rPr>
            <b/>
            <sz val="9"/>
            <rFont val="Tahoma"/>
            <family val="2"/>
            <charset val="-79"/>
          </rPr>
          <t>בכל התוצאות נמצא ריכוז חנקן קלדהל קטן מ-5 מג"ל.</t>
        </r>
        <r>
          <rPr>
            <sz val="9"/>
            <rFont val="Tahoma"/>
            <family val="2"/>
            <charset val="-79"/>
          </rPr>
          <t xml:space="preserve">
</t>
        </r>
      </text>
    </comment>
    <comment ref="B12" authorId="1" shapeId="0" xr:uid="{00000000-0006-0000-0100-000002000000}">
      <text>
        <r>
          <rPr>
            <b/>
            <sz val="9"/>
            <rFont val="Tahoma"/>
            <family val="2"/>
          </rPr>
          <t>שתי שוחות דיגום דרומית וצפונית</t>
        </r>
      </text>
    </comment>
    <comment ref="B13" authorId="1" shapeId="0" xr:uid="{00000000-0006-0000-0100-000003000000}">
      <text>
        <r>
          <rPr>
            <b/>
            <sz val="9"/>
            <rFont val="Tahoma"/>
            <family val="2"/>
          </rPr>
          <t>שתי שוחות דיגום דרומית וצפונית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tamir</author>
  </authors>
  <commentList>
    <comment ref="B12" authorId="0" shapeId="0" xr:uid="{00000000-0006-0000-0300-000001000000}">
      <text>
        <r>
          <rPr>
            <b/>
            <sz val="9"/>
            <rFont val="Tahoma"/>
            <family val="2"/>
          </rPr>
          <t>שתי שוחות דיגום דרומית וצפונית</t>
        </r>
      </text>
    </comment>
    <comment ref="B13" authorId="0" shapeId="0" xr:uid="{00000000-0006-0000-0300-000002000000}">
      <text>
        <r>
          <rPr>
            <b/>
            <sz val="9"/>
            <rFont val="Tahoma"/>
            <family val="2"/>
          </rPr>
          <t>שתי שוחות דיגום דרומית וצפונית</t>
        </r>
      </text>
    </comment>
  </commentList>
</comments>
</file>

<file path=xl/sharedStrings.xml><?xml version="1.0" encoding="utf-8"?>
<sst xmlns="http://schemas.openxmlformats.org/spreadsheetml/2006/main" count="234" uniqueCount="81">
  <si>
    <t>מס' סידורי</t>
  </si>
  <si>
    <t>שם מפעל</t>
  </si>
  <si>
    <t>כתובת המפעל</t>
  </si>
  <si>
    <t>מגזר תעשייתי לפי התוספת השלישית</t>
  </si>
  <si>
    <t>אופן הדיגום (חטף/מורכב)</t>
  </si>
  <si>
    <t>כמות מים/שפכים שנתית</t>
  </si>
  <si>
    <t>מספר בדיקות שנתי מתוכנן עפ"י תכנית הדיגום</t>
  </si>
  <si>
    <t>מספר בדיקות בפועל</t>
  </si>
  <si>
    <t>האם יש הסכם להזרמת שפכים חריגים
כן/לא</t>
  </si>
  <si>
    <t>מספר דיגומים שנמצאו שפכים חריגים</t>
  </si>
  <si>
    <t>מספר דיגומים שנמצאו שפכים אסורים</t>
  </si>
  <si>
    <t>מספר הדיגומים שלא נמצאו חריגות (אסורים או חריגים)</t>
  </si>
  <si>
    <t>הערות</t>
  </si>
  <si>
    <t>מפעלי מזון ומשקאות</t>
  </si>
  <si>
    <t>חטף</t>
  </si>
  <si>
    <t>אולמות אירועים, מסעדות, קניונים</t>
  </si>
  <si>
    <t>קמהדע</t>
  </si>
  <si>
    <t>בית קמה</t>
  </si>
  <si>
    <t>רפת דביר</t>
  </si>
  <si>
    <t>דביר</t>
  </si>
  <si>
    <t>רפת משמר קמה</t>
  </si>
  <si>
    <t>תחנת דלק פז בית קמה</t>
  </si>
  <si>
    <t>גן אירועים משמר הנגב (זר מעדנים)</t>
  </si>
  <si>
    <t>משמר הנגב</t>
  </si>
  <si>
    <t>נגב אקולוגיה</t>
  </si>
  <si>
    <t>תוצרת המושב</t>
  </si>
  <si>
    <t>תדהר</t>
  </si>
  <si>
    <t>ארומה ומקדונלדס</t>
  </si>
  <si>
    <t>ריכוז מירבי המותר הזרמה על פי הסכם (מג"ל \ ערך)</t>
  </si>
  <si>
    <t>ממוצע ריכוזים בפועל (מג"ל \ ערך)</t>
  </si>
  <si>
    <t>מס'</t>
  </si>
  <si>
    <t>מגזר תעשייתי</t>
  </si>
  <si>
    <t>COD</t>
  </si>
  <si>
    <t>TSS</t>
  </si>
  <si>
    <t>חנקן קילדל</t>
  </si>
  <si>
    <t>זרחן</t>
  </si>
  <si>
    <t>צריכת מים לדיגום</t>
  </si>
  <si>
    <t>תאריך הדיגום</t>
  </si>
  <si>
    <t>הפרמטר החורג</t>
  </si>
  <si>
    <t>ערך נמדד  [מג"ל]</t>
  </si>
  <si>
    <t>מס"ד</t>
  </si>
  <si>
    <t>שפכים אסורים</t>
  </si>
  <si>
    <t>שפכים חריגים בהסדר</t>
  </si>
  <si>
    <t>שפכים חריגים שלא בהסדר</t>
  </si>
  <si>
    <t>סה"כ חיוב שנתי בגין שפכי מפעלים ב- ₪ (לא כולל מע"מ [17%])</t>
  </si>
  <si>
    <t>כמות מים שחוייבה</t>
  </si>
  <si>
    <t>היקף החיוב השנתי ₪ (לא כולל מע"מ [17%])</t>
  </si>
  <si>
    <t>סה"כ חיוב שנתי בגין שפכי מפעלים (לא כולל מע"מ)</t>
  </si>
  <si>
    <t>דולב מוצרי פלסטיק</t>
  </si>
  <si>
    <t>פחימה מור</t>
  </si>
  <si>
    <t>תהדר</t>
  </si>
  <si>
    <t>(11) תחנות תדלוק</t>
  </si>
  <si>
    <t>(12) רפת או חזיריה או לול</t>
  </si>
  <si>
    <t>(14) תחנות מעבר</t>
  </si>
  <si>
    <t>(16) מפעלי כימיה: פרמצבטיקה, ייצור כימיקלים, דבקים וצבעים, דטרגנטים, ממיסים, חומרי הדברה, פטרוכימיה, פלסטיק</t>
  </si>
  <si>
    <t>מורכב לפי זמן</t>
  </si>
  <si>
    <t>פוליביד תעשיות בע"מ - שוחה דרומית</t>
  </si>
  <si>
    <t>פוליביד תעשיות בע"מ - שוחה צפונית</t>
  </si>
  <si>
    <t>לא</t>
  </si>
  <si>
    <t>כן</t>
  </si>
  <si>
    <t>נתרן</t>
  </si>
  <si>
    <t>שמנים ושומנים</t>
  </si>
  <si>
    <t>שמן מינרלי</t>
  </si>
  <si>
    <t>נתון חסר</t>
  </si>
  <si>
    <t>PH</t>
  </si>
  <si>
    <t>סה"כ חיוב שנתי בגין שפכי מפעלים (כולל מע"מ)</t>
  </si>
  <si>
    <t>רפת כרמים</t>
  </si>
  <si>
    <t>אין צריכות מים</t>
  </si>
  <si>
    <t>דיגום ראשון- לא חוייב, החריגה נמצאת בטווח ערך אי הודאות של הבדיקה, דיגום שני- לא חוייב, החריגה נמצאת בטווח ערך אי הודאות של הבדיקה, דיגום שלישי תקין, דיגום רביעי תקין</t>
  </si>
  <si>
    <t>כרמים</t>
  </si>
  <si>
    <t>נערכו רק 2 דיגומים מאחר  ואנו שוקלים להחליף נקודת דיגום</t>
  </si>
  <si>
    <t>נערכו 10 ניסיונות - המפעל בהשבתה אין ייצור</t>
  </si>
  <si>
    <t>נערכו 4 ניסיונות - אין זרימה, מפלס במתקן טיפול נמוך</t>
  </si>
  <si>
    <t>נערכו 5 ניסיונות - אין זרימה, מפלס במתקן טיפול נמוך</t>
  </si>
  <si>
    <t>אין צריכות מים לכן לא ניתן לחשב חריגות</t>
  </si>
  <si>
    <t>כל הדיגומים תקינים</t>
  </si>
  <si>
    <t>העסק לא חויב בגין חריגות מאחר ומטש דביר לא מרחיק זרחן וחנקן</t>
  </si>
  <si>
    <t>תחילת מידע טבלה</t>
  </si>
  <si>
    <t>סוף מידע טבלה צד שמאל</t>
  </si>
  <si>
    <t>סוף מידע טבלה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</si>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</sst>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&quot;₪&quot;\ #,##0.00"/>
    <numFmt numFmtId="166" formatCode="#,##0.0"/>
  </numFmts>
  <fonts count="14">
    <font>
      <sz val="11"/>
      <color theme="1"/>
      <name val="Arial"/>
      <family val="2"/>
      <charset val="-79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b/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  <charset val="-79"/>
      <scheme val="minor"/>
    </font>
    <font>
      <sz val="11"/>
      <name val="Arial"/>
      <family val="2"/>
      <charset val="-79"/>
      <scheme val="minor"/>
    </font>
    <font>
      <sz val="12"/>
      <name val="Arial"/>
      <family val="2"/>
      <scheme val="minor"/>
    </font>
    <font>
      <sz val="12"/>
      <color theme="1"/>
      <name val="Arial"/>
      <family val="2"/>
      <scheme val="minor"/>
    </font>
    <font>
      <sz val="11"/>
      <color theme="0"/>
      <name val="Arial"/>
      <family val="2"/>
      <charset val="-79"/>
      <scheme val="minor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/>
      <top style="thin">
        <color auto="1"/>
      </top>
      <bottom/>
    </border>
    <border>
      <left/>
      <right/>
      <top/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 style="thin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43" fontId="2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20" applyAlignment="1">
      <alignment horizontal="center" vertical="top" wrapText="1"/>
      <protection/>
    </xf>
    <xf numFmtId="0" fontId="3" fillId="2" borderId="1" xfId="20" applyFont="1" applyFill="1" applyBorder="1" applyAlignment="1">
      <alignment horizontal="center" vertical="top" wrapText="1"/>
      <protection/>
    </xf>
    <xf numFmtId="0" fontId="2" fillId="0" borderId="0" xfId="20">
      <alignment/>
      <protection/>
    </xf>
    <xf numFmtId="0" fontId="2" fillId="0" borderId="0" xfId="20" applyAlignment="1">
      <alignment horizontal="center" vertical="top"/>
      <protection/>
    </xf>
    <xf numFmtId="0" fontId="2" fillId="0" borderId="0" xfId="20" applyAlignment="1">
      <alignment horizontal="center"/>
      <protection/>
    </xf>
    <xf numFmtId="0" fontId="3" fillId="3" borderId="1" xfId="20" applyFont="1" applyFill="1" applyBorder="1" applyAlignment="1">
      <alignment horizontal="center"/>
      <protection/>
    </xf>
    <xf numFmtId="0" fontId="3" fillId="3" borderId="1" xfId="20" applyFont="1" applyFill="1" applyBorder="1" applyAlignment="1">
      <alignment horizontal="center" wrapText="1"/>
      <protection/>
    </xf>
    <xf numFmtId="0" fontId="3" fillId="3" borderId="2" xfId="20" applyFont="1" applyFill="1" applyBorder="1" applyAlignment="1">
      <alignment horizontal="center" wrapText="1"/>
      <protection/>
    </xf>
    <xf numFmtId="0" fontId="3" fillId="4" borderId="1" xfId="20" applyFont="1" applyFill="1" applyBorder="1" applyAlignment="1">
      <alignment horizontal="center" vertical="center" wrapText="1"/>
      <protection/>
    </xf>
    <xf numFmtId="0" fontId="6" fillId="5" borderId="1" xfId="20" applyFont="1" applyFill="1" applyBorder="1" applyAlignment="1">
      <alignment horizontal="center" vertical="top" wrapText="1"/>
      <protection/>
    </xf>
    <xf numFmtId="0" fontId="6" fillId="5" borderId="1" xfId="20" applyFont="1" applyFill="1" applyBorder="1" applyAlignment="1">
      <alignment horizontal="center" vertical="center" wrapText="1"/>
      <protection/>
    </xf>
    <xf numFmtId="164" fontId="2" fillId="0" borderId="1" xfId="18" applyNumberFormat="1" applyFont="1" applyBorder="1" applyAlignment="1">
      <alignment horizontal="center" vertical="center" wrapText="1" readingOrder="2"/>
    </xf>
    <xf numFmtId="0" fontId="2" fillId="0" borderId="1" xfId="20" applyBorder="1" applyAlignment="1">
      <alignment horizontal="center" vertical="center" wrapText="1" readingOrder="2"/>
      <protection/>
    </xf>
    <xf numFmtId="0" fontId="7" fillId="0" borderId="0" xfId="0" applyFont="1" applyAlignment="1">
      <alignment wrapText="1"/>
    </xf>
    <xf numFmtId="165" fontId="7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20" applyFont="1" applyBorder="1" applyAlignment="1">
      <alignment horizontal="center" vertical="center" wrapText="1"/>
      <protection/>
    </xf>
    <xf numFmtId="0" fontId="9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20" applyBorder="1" applyAlignment="1">
      <alignment horizontal="center" vertical="center" wrapText="1"/>
      <protection/>
    </xf>
    <xf numFmtId="0" fontId="2" fillId="0" borderId="1" xfId="20" applyBorder="1" applyAlignment="1">
      <alignment horizontal="center" vertical="center"/>
      <protection/>
    </xf>
    <xf numFmtId="0" fontId="2" fillId="0" borderId="1" xfId="18" applyNumberFormat="1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0" fillId="0" borderId="1" xfId="21" applyNumberFormat="1" applyFont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 wrapText="1"/>
    </xf>
    <xf numFmtId="0" fontId="10" fillId="0" borderId="1" xfId="20" applyFont="1" applyBorder="1" applyAlignment="1">
      <alignment horizontal="center" vertical="center"/>
      <protection/>
    </xf>
    <xf numFmtId="0" fontId="10" fillId="0" borderId="1" xfId="0" applyFont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4" fontId="10" fillId="0" borderId="1" xfId="20" applyNumberFormat="1" applyFont="1" applyBorder="1" applyAlignment="1">
      <alignment horizontal="center" vertical="center"/>
      <protection/>
    </xf>
    <xf numFmtId="166" fontId="10" fillId="0" borderId="1" xfId="20" applyNumberFormat="1" applyFont="1" applyBorder="1" applyAlignment="1">
      <alignment horizontal="center" vertical="center"/>
      <protection/>
    </xf>
    <xf numFmtId="0" fontId="11" fillId="6" borderId="1" xfId="0" applyFont="1" applyFill="1" applyBorder="1" applyAlignment="1">
      <alignment horizontal="center" vertical="center"/>
    </xf>
    <xf numFmtId="0" fontId="10" fillId="0" borderId="1" xfId="20" applyFont="1" applyBorder="1" applyAlignment="1">
      <alignment horizontal="center" vertical="center" wrapText="1"/>
      <protection/>
    </xf>
    <xf numFmtId="0" fontId="11" fillId="6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2" fillId="0" borderId="1" xfId="20" applyNumberFormat="1" applyBorder="1" applyAlignment="1">
      <alignment horizontal="center" vertical="center"/>
      <protection/>
    </xf>
    <xf numFmtId="0" fontId="3" fillId="3" borderId="2" xfId="20" applyFont="1" applyFill="1" applyBorder="1" applyAlignment="1">
      <alignment horizontal="center" vertical="top"/>
      <protection/>
    </xf>
    <xf numFmtId="0" fontId="3" fillId="3" borderId="3" xfId="20" applyFont="1" applyFill="1" applyBorder="1" applyAlignment="1">
      <alignment horizontal="center" vertical="top"/>
      <protection/>
    </xf>
    <xf numFmtId="0" fontId="3" fillId="3" borderId="4" xfId="20" applyFont="1" applyFill="1" applyBorder="1" applyAlignment="1">
      <alignment horizontal="center" vertical="top"/>
      <protection/>
    </xf>
    <xf numFmtId="0" fontId="3" fillId="3" borderId="2" xfId="20" applyFont="1" applyFill="1" applyBorder="1" applyAlignment="1">
      <alignment horizontal="center" vertical="top" wrapText="1"/>
      <protection/>
    </xf>
    <xf numFmtId="0" fontId="3" fillId="3" borderId="3" xfId="20" applyFont="1" applyFill="1" applyBorder="1" applyAlignment="1">
      <alignment horizontal="center" vertical="top" wrapText="1"/>
      <protection/>
    </xf>
    <xf numFmtId="0" fontId="3" fillId="3" borderId="4" xfId="20" applyFont="1" applyFill="1" applyBorder="1" applyAlignment="1">
      <alignment horizontal="center" vertical="top" wrapText="1"/>
      <protection/>
    </xf>
    <xf numFmtId="0" fontId="6" fillId="5" borderId="1" xfId="20" applyFont="1" applyFill="1" applyBorder="1" applyAlignment="1">
      <alignment horizontal="center" vertical="center" wrapText="1"/>
      <protection/>
    </xf>
    <xf numFmtId="0" fontId="6" fillId="5" borderId="5" xfId="20" applyFont="1" applyFill="1" applyBorder="1" applyAlignment="1">
      <alignment horizontal="center" vertical="top" wrapText="1"/>
      <protection/>
    </xf>
    <xf numFmtId="0" fontId="6" fillId="5" borderId="6" xfId="20" applyFont="1" applyFill="1" applyBorder="1" applyAlignment="1">
      <alignment horizontal="center" vertical="top" wrapText="1"/>
      <protection/>
    </xf>
    <xf numFmtId="0" fontId="6" fillId="5" borderId="1" xfId="20" applyFont="1" applyFill="1" applyBorder="1" applyAlignment="1">
      <alignment horizontal="center" vertical="top" wrapText="1"/>
      <protection/>
    </xf>
    <xf numFmtId="0" fontId="6" fillId="5" borderId="2" xfId="20" applyFont="1" applyFill="1" applyBorder="1" applyAlignment="1">
      <alignment horizontal="center" vertical="top" wrapText="1"/>
      <protection/>
    </xf>
    <xf numFmtId="0" fontId="6" fillId="5" borderId="4" xfId="20" applyFont="1" applyFill="1" applyBorder="1" applyAlignment="1">
      <alignment horizontal="center" vertical="top" wrapText="1"/>
      <protection/>
    </xf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3" fillId="0" borderId="9" xfId="20" applyFont="1" applyBorder="1" applyAlignment="1">
      <alignment horizontal="center" vertical="top" wrapText="1"/>
      <protection/>
    </xf>
    <xf numFmtId="0" fontId="12" fillId="0" borderId="9" xfId="0" applyFont="1" applyBorder="1" applyAlignment="1">
      <alignment horizontal="center"/>
    </xf>
    <xf numFmtId="0" fontId="2" fillId="0" borderId="8" xfId="20" applyBorder="1" applyAlignment="1">
      <alignment horizontal="center" vertical="top"/>
      <protection/>
    </xf>
    <xf numFmtId="0" fontId="2" fillId="0" borderId="10" xfId="20" applyBorder="1" applyAlignment="1">
      <alignment horizontal="center" vertical="top"/>
      <protection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3" xfId="20"/>
    <cellStyle name="Comma 3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11" Type="http://schemas.openxmlformats.org/officeDocument/2006/relationships/calcChain" Target="calcChain.xml" /><Relationship Id="rId10" Type="http://schemas.openxmlformats.org/officeDocument/2006/relationships/customXml" Target="../customXml/item3.xml" /><Relationship Id="rId9" Type="http://schemas.openxmlformats.org/officeDocument/2006/relationships/customXml" Target="../customXml/item2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8" Type="http://schemas.openxmlformats.org/officeDocument/2006/relationships/customXml" Target="../customXml/item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13</xdr:col>
      <xdr:colOff>508000</xdr:colOff>
      <xdr:row>0</xdr:row>
      <xdr:rowOff>50800</xdr:rowOff>
    </xdr:from>
    <xdr:to>
      <xdr:col>14</xdr:col>
      <xdr:colOff>171450</xdr:colOff>
      <xdr:row>1</xdr:row>
      <xdr:rowOff>196850</xdr:rowOff>
    </xdr:to>
    <xdr:pic>
      <xdr:nvPicPr>
        <xdr:cNvPr id="3" name="Picture 2" descr="קוֹבֶץ זֶה הוּנְגַּש עַל יְדֵי חברת אֵיְי טוּ זִי - סֶמֶל  הַנגישוּת (2)">
          <a:extLst>
            <a:ext uri="{FF2B5EF4-FFF2-40B4-BE49-F238E27FC236}">
              <a16:creationId xmlns:a16="http://schemas.microsoft.com/office/drawing/2014/main" id="{6f3004d1-fd05-3829-ca90-3c4d876c1fc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973675" y="47625"/>
          <a:ext cx="352425" cy="314325"/>
        </a:xfrm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omments" Target="../comments1.xml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vmlDrawing" Target="../drawings/vmlDrawing2.vml" /><Relationship Id="rId3" Type="http://schemas.openxmlformats.org/officeDocument/2006/relationships/printerSettings" Target="../printerSettings/printerSettings1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vmlDrawing" Target="../drawings/vmlDrawing3.vml" /><Relationship Id="rId3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rightToLeft="1" tabSelected="1" workbookViewId="0" topLeftCell="E1">
      <selection pane="topLeft" activeCell="O2" sqref="O2"/>
    </sheetView>
  </sheetViews>
  <sheetFormatPr defaultRowHeight="14"/>
  <cols>
    <col min="2" max="2" width="21.75" bestFit="1" customWidth="1"/>
    <col min="3" max="3" width="14.625" bestFit="1" customWidth="1"/>
    <col min="4" max="4" width="45.25" bestFit="1" customWidth="1"/>
    <col min="5" max="5" width="13.875" bestFit="1" customWidth="1"/>
    <col min="6" max="6" width="16.75" bestFit="1" customWidth="1"/>
    <col min="7" max="7" width="11.75" customWidth="1"/>
    <col min="8" max="8" width="14.75" bestFit="1" customWidth="1"/>
    <col min="9" max="9" width="14.25" bestFit="1" customWidth="1"/>
    <col min="10" max="10" width="12.125" customWidth="1"/>
    <col min="11" max="11" width="13.125" customWidth="1"/>
    <col min="12" max="12" width="19.5" bestFit="1" customWidth="1"/>
    <col min="13" max="13" width="22.5" customWidth="1"/>
  </cols>
  <sheetData>
    <row r="1" spans="1:13" ht="14">
      <c r="A1" s="58" t="s">
        <v>77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4" ht="5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60" t="s">
        <v>78</v>
      </c>
    </row>
    <row r="3" spans="1:14" ht="34.9" customHeight="1">
      <c r="A3" s="20">
        <v>1</v>
      </c>
      <c r="B3" s="16" t="s">
        <v>22</v>
      </c>
      <c r="C3" s="18" t="s">
        <v>23</v>
      </c>
      <c r="D3" s="18" t="s">
        <v>15</v>
      </c>
      <c r="E3" s="22" t="s">
        <v>14</v>
      </c>
      <c r="F3" s="21">
        <v>3024</v>
      </c>
      <c r="G3" s="18">
        <v>4</v>
      </c>
      <c r="H3" s="27">
        <v>4</v>
      </c>
      <c r="I3" s="25" t="s">
        <v>58</v>
      </c>
      <c r="J3" s="27">
        <v>4</v>
      </c>
      <c r="K3" s="27">
        <v>4</v>
      </c>
      <c r="L3" s="27"/>
      <c r="M3" s="12"/>
      <c r="N3" s="60"/>
    </row>
    <row r="4" spans="1:14" ht="34.9" customHeight="1">
      <c r="A4" s="20">
        <v>2</v>
      </c>
      <c r="B4" s="16" t="s">
        <v>27</v>
      </c>
      <c r="C4" s="18" t="s">
        <v>17</v>
      </c>
      <c r="D4" s="18" t="s">
        <v>15</v>
      </c>
      <c r="E4" s="22" t="s">
        <v>14</v>
      </c>
      <c r="F4" s="21" t="s">
        <v>63</v>
      </c>
      <c r="G4" s="18">
        <v>4</v>
      </c>
      <c r="H4" s="27">
        <v>2</v>
      </c>
      <c r="I4" s="25" t="s">
        <v>58</v>
      </c>
      <c r="J4" s="27">
        <v>2</v>
      </c>
      <c r="K4" s="27">
        <v>2</v>
      </c>
      <c r="L4" s="27"/>
      <c r="M4" s="12" t="s">
        <v>70</v>
      </c>
      <c r="N4" s="60"/>
    </row>
    <row r="5" spans="1:14" ht="34.9" customHeight="1">
      <c r="A5" s="20">
        <v>3</v>
      </c>
      <c r="B5" s="16" t="s">
        <v>25</v>
      </c>
      <c r="C5" s="18" t="s">
        <v>26</v>
      </c>
      <c r="D5" s="18" t="s">
        <v>13</v>
      </c>
      <c r="E5" s="22" t="s">
        <v>14</v>
      </c>
      <c r="F5" s="21">
        <v>14004</v>
      </c>
      <c r="G5" s="18">
        <v>4</v>
      </c>
      <c r="H5" s="27">
        <v>4</v>
      </c>
      <c r="I5" s="25" t="s">
        <v>59</v>
      </c>
      <c r="J5" s="27">
        <v>1</v>
      </c>
      <c r="K5" s="27"/>
      <c r="L5" s="27">
        <v>3</v>
      </c>
      <c r="M5" s="12"/>
      <c r="N5" s="60"/>
    </row>
    <row r="6" spans="1:14" ht="34.9" customHeight="1">
      <c r="A6" s="20">
        <v>4</v>
      </c>
      <c r="B6" s="16" t="s">
        <v>21</v>
      </c>
      <c r="C6" s="18" t="s">
        <v>17</v>
      </c>
      <c r="D6" s="19" t="s">
        <v>51</v>
      </c>
      <c r="E6" s="22" t="s">
        <v>14</v>
      </c>
      <c r="F6" s="21">
        <v>4692</v>
      </c>
      <c r="G6" s="18">
        <v>4</v>
      </c>
      <c r="H6" s="27">
        <v>4</v>
      </c>
      <c r="I6" s="25" t="s">
        <v>58</v>
      </c>
      <c r="J6" s="27">
        <v>2</v>
      </c>
      <c r="K6" s="27"/>
      <c r="L6" s="27">
        <v>2</v>
      </c>
      <c r="M6" s="12"/>
      <c r="N6" s="60"/>
    </row>
    <row r="7" spans="1:14" ht="34.9" customHeight="1">
      <c r="A7" s="20">
        <v>5</v>
      </c>
      <c r="B7" s="16" t="s">
        <v>20</v>
      </c>
      <c r="C7" s="18" t="s">
        <v>17</v>
      </c>
      <c r="D7" s="19" t="s">
        <v>52</v>
      </c>
      <c r="E7" s="22" t="s">
        <v>14</v>
      </c>
      <c r="F7" s="21">
        <v>59994</v>
      </c>
      <c r="G7" s="18">
        <v>4</v>
      </c>
      <c r="H7" s="27">
        <v>4</v>
      </c>
      <c r="I7" s="25" t="s">
        <v>58</v>
      </c>
      <c r="J7" s="27">
        <v>2</v>
      </c>
      <c r="K7" s="27"/>
      <c r="L7" s="27">
        <v>2</v>
      </c>
      <c r="M7" s="12"/>
      <c r="N7" s="60"/>
    </row>
    <row r="8" spans="1:14" ht="34.9" customHeight="1">
      <c r="A8" s="20">
        <v>6</v>
      </c>
      <c r="B8" s="16" t="s">
        <v>18</v>
      </c>
      <c r="C8" s="18" t="s">
        <v>19</v>
      </c>
      <c r="D8" s="19" t="s">
        <v>52</v>
      </c>
      <c r="E8" s="22" t="s">
        <v>14</v>
      </c>
      <c r="F8" s="21">
        <v>13392</v>
      </c>
      <c r="G8" s="18">
        <v>4</v>
      </c>
      <c r="H8" s="27">
        <v>3</v>
      </c>
      <c r="I8" s="25" t="s">
        <v>58</v>
      </c>
      <c r="J8" s="27">
        <v>3</v>
      </c>
      <c r="K8" s="27"/>
      <c r="L8" s="27"/>
      <c r="M8" s="12" t="s">
        <v>73</v>
      </c>
      <c r="N8" s="60"/>
    </row>
    <row r="9" spans="1:14" ht="34.9" customHeight="1">
      <c r="A9" s="20">
        <v>7</v>
      </c>
      <c r="B9" s="16" t="s">
        <v>24</v>
      </c>
      <c r="C9" s="18" t="s">
        <v>23</v>
      </c>
      <c r="D9" s="19" t="s">
        <v>53</v>
      </c>
      <c r="E9" s="22" t="s">
        <v>55</v>
      </c>
      <c r="F9" s="21">
        <v>22242</v>
      </c>
      <c r="G9" s="18">
        <v>4</v>
      </c>
      <c r="H9" s="27">
        <v>4</v>
      </c>
      <c r="I9" s="25" t="s">
        <v>58</v>
      </c>
      <c r="J9" s="27">
        <v>4</v>
      </c>
      <c r="K9" s="27">
        <v>3</v>
      </c>
      <c r="L9" s="27"/>
      <c r="M9" s="12"/>
      <c r="N9" s="60"/>
    </row>
    <row r="10" spans="1:14" ht="34.9" customHeight="1">
      <c r="A10" s="20">
        <v>8</v>
      </c>
      <c r="B10" s="17" t="s">
        <v>16</v>
      </c>
      <c r="C10" s="18" t="s">
        <v>17</v>
      </c>
      <c r="D10" s="19" t="s">
        <v>54</v>
      </c>
      <c r="E10" s="22" t="s">
        <v>14</v>
      </c>
      <c r="F10" s="21">
        <v>62748</v>
      </c>
      <c r="G10" s="19">
        <v>12</v>
      </c>
      <c r="H10" s="27">
        <v>9</v>
      </c>
      <c r="I10" s="25" t="s">
        <v>58</v>
      </c>
      <c r="J10" s="27"/>
      <c r="K10" s="27">
        <v>4</v>
      </c>
      <c r="L10" s="27">
        <v>5</v>
      </c>
      <c r="M10" s="12" t="s">
        <v>71</v>
      </c>
      <c r="N10" s="60"/>
    </row>
    <row r="11" spans="1:14" ht="34.9" customHeight="1">
      <c r="A11" s="20">
        <v>9</v>
      </c>
      <c r="B11" s="17" t="s">
        <v>56</v>
      </c>
      <c r="C11" s="18" t="s">
        <v>23</v>
      </c>
      <c r="D11" s="19" t="s">
        <v>54</v>
      </c>
      <c r="E11" s="22" t="s">
        <v>14</v>
      </c>
      <c r="F11" s="21">
        <v>15392</v>
      </c>
      <c r="G11" s="19">
        <v>2</v>
      </c>
      <c r="H11" s="27">
        <v>2</v>
      </c>
      <c r="I11" s="25" t="s">
        <v>58</v>
      </c>
      <c r="J11" s="27"/>
      <c r="K11" s="27"/>
      <c r="L11" s="27">
        <v>2</v>
      </c>
      <c r="M11" s="13"/>
      <c r="N11" s="60"/>
    </row>
    <row r="12" spans="1:14" ht="34.9" customHeight="1">
      <c r="A12" s="20">
        <v>10</v>
      </c>
      <c r="B12" s="17" t="s">
        <v>57</v>
      </c>
      <c r="C12" s="18" t="s">
        <v>23</v>
      </c>
      <c r="D12" s="19" t="s">
        <v>54</v>
      </c>
      <c r="E12" s="22" t="s">
        <v>14</v>
      </c>
      <c r="F12" s="21">
        <v>15392</v>
      </c>
      <c r="G12" s="19">
        <v>2</v>
      </c>
      <c r="H12" s="27">
        <v>2</v>
      </c>
      <c r="I12" s="25" t="s">
        <v>58</v>
      </c>
      <c r="J12" s="27"/>
      <c r="K12" s="27"/>
      <c r="L12" s="27">
        <v>2</v>
      </c>
      <c r="M12" s="13"/>
      <c r="N12" s="60"/>
    </row>
    <row r="13" spans="1:14" ht="34.9" customHeight="1">
      <c r="A13" s="20">
        <v>11</v>
      </c>
      <c r="B13" s="17" t="s">
        <v>48</v>
      </c>
      <c r="C13" s="18" t="s">
        <v>19</v>
      </c>
      <c r="D13" s="19" t="s">
        <v>54</v>
      </c>
      <c r="E13" s="22" t="s">
        <v>14</v>
      </c>
      <c r="F13" s="21">
        <v>2237</v>
      </c>
      <c r="G13" s="19">
        <v>3</v>
      </c>
      <c r="H13" s="27">
        <v>3</v>
      </c>
      <c r="I13" s="25" t="s">
        <v>58</v>
      </c>
      <c r="J13" s="27">
        <v>3</v>
      </c>
      <c r="K13" s="27"/>
      <c r="L13" s="27"/>
      <c r="M13" s="12"/>
      <c r="N13" s="60"/>
    </row>
    <row r="14" spans="1:14" ht="34.9" customHeight="1">
      <c r="A14" s="20">
        <v>12</v>
      </c>
      <c r="B14" s="17" t="s">
        <v>49</v>
      </c>
      <c r="C14" s="18" t="s">
        <v>50</v>
      </c>
      <c r="D14" s="18" t="s">
        <v>13</v>
      </c>
      <c r="E14" s="22" t="s">
        <v>14</v>
      </c>
      <c r="F14" s="21">
        <v>102</v>
      </c>
      <c r="G14" s="18">
        <v>4</v>
      </c>
      <c r="H14" s="27">
        <v>4</v>
      </c>
      <c r="I14" s="25" t="s">
        <v>58</v>
      </c>
      <c r="J14" s="27">
        <v>4</v>
      </c>
      <c r="K14" s="27">
        <v>1</v>
      </c>
      <c r="L14" s="27"/>
      <c r="M14" s="12"/>
      <c r="N14" s="60"/>
    </row>
    <row r="15" spans="1:14" ht="31.9" customHeight="1">
      <c r="A15" s="20">
        <v>13</v>
      </c>
      <c r="B15" s="17" t="s">
        <v>66</v>
      </c>
      <c r="C15" s="20" t="s">
        <v>69</v>
      </c>
      <c r="D15" s="19" t="s">
        <v>52</v>
      </c>
      <c r="E15" s="22" t="s">
        <v>14</v>
      </c>
      <c r="F15" s="21">
        <v>2501.40</v>
      </c>
      <c r="G15" s="42">
        <v>4</v>
      </c>
      <c r="H15" s="42">
        <v>3</v>
      </c>
      <c r="I15" s="42" t="s">
        <v>58</v>
      </c>
      <c r="J15" s="42">
        <v>3</v>
      </c>
      <c r="K15" s="42"/>
      <c r="L15" s="42"/>
      <c r="M15" s="20" t="s">
        <v>72</v>
      </c>
      <c r="N15" s="60"/>
    </row>
    <row r="16" spans="1:13" ht="14">
      <c r="A16" s="57" t="s">
        <v>79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</row>
  </sheetData>
  <autoFilter ref="A2:M15"/>
  <mergeCells count="3">
    <mergeCell ref="A1:M1"/>
    <mergeCell ref="N2:N15"/>
    <mergeCell ref="A16:M16"/>
  </mergeCells>
  <dataValidations count="1">
    <dataValidation type="list" allowBlank="1" showInputMessage="1" showErrorMessage="1" sqref="D3:D15 E3:E8 E10:E15">
      <formula1>#REF!</formula1>
    </dataValidation>
  </dataValidations>
  <pageMargins left="0.7" right="0.7" top="0.75" bottom="0.75" header="0.3" footer="0.3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"/>
  <sheetViews>
    <sheetView rightToLeft="1" zoomScale="110" zoomScaleNormal="110" workbookViewId="0" topLeftCell="A11">
      <selection pane="topLeft" activeCell="N1" sqref="N1"/>
    </sheetView>
  </sheetViews>
  <sheetFormatPr defaultRowHeight="14"/>
  <cols>
    <col min="2" max="2" width="17.75" customWidth="1"/>
    <col min="3" max="3" width="34.625" customWidth="1"/>
    <col min="4" max="4" width="26.5" customWidth="1"/>
    <col min="5" max="5" width="17.125" hidden="1" customWidth="1"/>
    <col min="6" max="6" width="12.5" hidden="1" customWidth="1"/>
    <col min="7" max="7" width="10.875" hidden="1" customWidth="1"/>
    <col min="8" max="8" width="13.25" hidden="1" customWidth="1"/>
    <col min="9" max="9" width="12.25" customWidth="1"/>
    <col min="10" max="10" width="13.25" customWidth="1"/>
    <col min="11" max="11" width="15.125" customWidth="1"/>
    <col min="12" max="12" width="13.5" customWidth="1"/>
  </cols>
  <sheetData>
    <row r="1" spans="1:12" ht="14">
      <c r="A1" s="56" t="s">
        <v>77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4" ht="14.65" customHeight="1">
      <c r="A2" s="61"/>
      <c r="B2" s="61"/>
      <c r="C2" s="61"/>
      <c r="D2" s="62"/>
      <c r="E2" s="47" t="s">
        <v>28</v>
      </c>
      <c r="F2" s="48"/>
      <c r="G2" s="48"/>
      <c r="H2" s="49"/>
      <c r="I2" s="44" t="s">
        <v>29</v>
      </c>
      <c r="J2" s="45"/>
      <c r="K2" s="45"/>
      <c r="L2" s="46"/>
      <c r="M2" s="56" t="s">
        <v>78</v>
      </c>
      <c r="N2" s="4"/>
    </row>
    <row r="3" spans="1:14" ht="14">
      <c r="A3" s="6" t="s">
        <v>30</v>
      </c>
      <c r="B3" s="7" t="s">
        <v>1</v>
      </c>
      <c r="C3" s="7" t="s">
        <v>31</v>
      </c>
      <c r="D3" s="8" t="s">
        <v>5</v>
      </c>
      <c r="E3" s="7" t="s">
        <v>32</v>
      </c>
      <c r="F3" s="7" t="s">
        <v>33</v>
      </c>
      <c r="G3" s="7" t="s">
        <v>34</v>
      </c>
      <c r="H3" s="7" t="s">
        <v>35</v>
      </c>
      <c r="I3" s="7" t="s">
        <v>32</v>
      </c>
      <c r="J3" s="7" t="s">
        <v>33</v>
      </c>
      <c r="K3" s="7" t="s">
        <v>34</v>
      </c>
      <c r="L3" s="8" t="s">
        <v>35</v>
      </c>
      <c r="M3" s="56"/>
      <c r="N3" s="5"/>
    </row>
    <row r="4" spans="1:14" ht="34.9" customHeight="1">
      <c r="A4" s="23">
        <v>1</v>
      </c>
      <c r="B4" s="24" t="s">
        <v>22</v>
      </c>
      <c r="C4" s="28" t="s">
        <v>15</v>
      </c>
      <c r="D4" s="21">
        <v>3024</v>
      </c>
      <c r="E4" s="29">
        <v>800</v>
      </c>
      <c r="F4" s="29">
        <v>400</v>
      </c>
      <c r="G4" s="29">
        <v>50</v>
      </c>
      <c r="H4" s="29">
        <v>15</v>
      </c>
      <c r="I4" s="29">
        <f>AVERAGE(1824,3605,2665,2475)</f>
        <v>2642.25</v>
      </c>
      <c r="J4" s="29">
        <f>AVERAGE(122,318,495,238)</f>
        <v>293.25</v>
      </c>
      <c r="K4" s="29"/>
      <c r="L4" s="29"/>
      <c r="M4" s="56"/>
      <c r="N4" s="3"/>
    </row>
    <row r="5" spans="1:14" ht="34.9" customHeight="1">
      <c r="A5" s="23">
        <v>2</v>
      </c>
      <c r="B5" s="24" t="s">
        <v>27</v>
      </c>
      <c r="C5" s="28" t="s">
        <v>15</v>
      </c>
      <c r="D5" s="21" t="s">
        <v>63</v>
      </c>
      <c r="E5" s="29">
        <v>800</v>
      </c>
      <c r="F5" s="29">
        <v>400</v>
      </c>
      <c r="G5" s="29">
        <v>50</v>
      </c>
      <c r="H5" s="29">
        <v>15</v>
      </c>
      <c r="I5" s="29">
        <f>AVERAGE(3039,2524)</f>
        <v>2781.50</v>
      </c>
      <c r="J5" s="29">
        <f>AVERAGE(416,254)</f>
        <v>335</v>
      </c>
      <c r="K5" s="29"/>
      <c r="L5" s="29"/>
      <c r="M5" s="56"/>
      <c r="N5" s="3"/>
    </row>
    <row r="6" spans="1:14" ht="34.9" customHeight="1">
      <c r="A6" s="23">
        <v>3</v>
      </c>
      <c r="B6" s="24" t="s">
        <v>25</v>
      </c>
      <c r="C6" s="28" t="s">
        <v>13</v>
      </c>
      <c r="D6" s="21">
        <v>14004</v>
      </c>
      <c r="E6" s="29">
        <v>800</v>
      </c>
      <c r="F6" s="29">
        <v>400</v>
      </c>
      <c r="G6" s="29">
        <v>50</v>
      </c>
      <c r="H6" s="29">
        <v>15</v>
      </c>
      <c r="I6" s="29">
        <f>AVERAGE(2487,101,580,56)</f>
        <v>806</v>
      </c>
      <c r="J6" s="29">
        <f>AVERAGE(202,29,248,20)</f>
        <v>124.75</v>
      </c>
      <c r="K6" s="29">
        <f>AVERAGE(42.92,8.28,30.8,3.09)</f>
        <v>21.2725</v>
      </c>
      <c r="L6" s="29">
        <f>AVERAGE(10.103,0.245,6.124,3.106)</f>
        <v>4.894499999999999</v>
      </c>
      <c r="M6" s="56"/>
      <c r="N6" s="3"/>
    </row>
    <row r="7" spans="1:14" ht="34.9" customHeight="1">
      <c r="A7" s="23">
        <v>4</v>
      </c>
      <c r="B7" s="24" t="s">
        <v>21</v>
      </c>
      <c r="C7" s="30" t="s">
        <v>51</v>
      </c>
      <c r="D7" s="21">
        <v>4692</v>
      </c>
      <c r="E7" s="29">
        <v>800</v>
      </c>
      <c r="F7" s="29">
        <v>400</v>
      </c>
      <c r="G7" s="29">
        <v>50</v>
      </c>
      <c r="H7" s="29">
        <v>15</v>
      </c>
      <c r="I7" s="29">
        <f>AVERAGE(804,898,334,187)</f>
        <v>555.75</v>
      </c>
      <c r="J7" s="29"/>
      <c r="K7" s="29"/>
      <c r="L7" s="29"/>
      <c r="M7" s="56"/>
      <c r="N7" s="3"/>
    </row>
    <row r="8" spans="1:14" ht="34.9" customHeight="1">
      <c r="A8" s="23">
        <v>5</v>
      </c>
      <c r="B8" s="24" t="s">
        <v>20</v>
      </c>
      <c r="C8" s="30" t="s">
        <v>52</v>
      </c>
      <c r="D8" s="21">
        <v>59994</v>
      </c>
      <c r="E8" s="29">
        <v>800</v>
      </c>
      <c r="F8" s="29">
        <v>400</v>
      </c>
      <c r="G8" s="29">
        <v>50</v>
      </c>
      <c r="H8" s="29">
        <v>15</v>
      </c>
      <c r="I8" s="29">
        <f>AVERAGE(1450,649,2810,78)</f>
        <v>1246.75</v>
      </c>
      <c r="J8" s="29">
        <f>AVERAGE(345,181,930,84)</f>
        <v>385</v>
      </c>
      <c r="K8" s="29">
        <f>AVERAGE(53.87,16.8,41.69,4.17)</f>
        <v>29.1325</v>
      </c>
      <c r="L8" s="29">
        <f>AVERAGE(11.02,4.389,12.76,0.238)</f>
        <v>7.101749999999999</v>
      </c>
      <c r="M8" s="56"/>
      <c r="N8" s="3"/>
    </row>
    <row r="9" spans="1:14" ht="34.9" customHeight="1">
      <c r="A9" s="23">
        <v>6</v>
      </c>
      <c r="B9" s="24" t="s">
        <v>18</v>
      </c>
      <c r="C9" s="30" t="s">
        <v>52</v>
      </c>
      <c r="D9" s="21">
        <v>13392</v>
      </c>
      <c r="E9" s="29">
        <v>800</v>
      </c>
      <c r="F9" s="29">
        <v>400</v>
      </c>
      <c r="G9" s="29">
        <v>50</v>
      </c>
      <c r="H9" s="29">
        <v>15</v>
      </c>
      <c r="I9" s="29">
        <f>AVERAGE(6965,3692,2675)</f>
        <v>4444</v>
      </c>
      <c r="J9" s="29">
        <f>AVERAGE(1250,388,119)</f>
        <v>585.6666666666666</v>
      </c>
      <c r="K9" s="29">
        <f>AVERAGE(701.83,407.48,355.29)</f>
        <v>488.20</v>
      </c>
      <c r="L9" s="29">
        <f>AVERAGE(27.422,9.755,1.629)</f>
        <v>12.935333333333332</v>
      </c>
      <c r="M9" s="56"/>
      <c r="N9" s="3"/>
    </row>
    <row r="10" spans="1:14" ht="34.9" customHeight="1">
      <c r="A10" s="23">
        <v>7</v>
      </c>
      <c r="B10" s="24" t="s">
        <v>24</v>
      </c>
      <c r="C10" s="30" t="s">
        <v>53</v>
      </c>
      <c r="D10" s="21">
        <v>22242</v>
      </c>
      <c r="E10" s="29">
        <v>800</v>
      </c>
      <c r="F10" s="29">
        <v>400</v>
      </c>
      <c r="G10" s="29">
        <v>50</v>
      </c>
      <c r="H10" s="29">
        <v>15</v>
      </c>
      <c r="I10" s="29">
        <f>AVERAGE(5940,952,1384,3150)</f>
        <v>2856.50</v>
      </c>
      <c r="J10" s="29">
        <f>AVERAGE(3780,391.3,437.8,2443)</f>
        <v>1763.025</v>
      </c>
      <c r="K10" s="29">
        <f>AVERAGE(94.98,22.17,7.151,50.13)</f>
        <v>43.60775</v>
      </c>
      <c r="L10" s="29">
        <f>AVERAGE(19.406,2.878,1.826,14.67)</f>
        <v>9.695</v>
      </c>
      <c r="M10" s="56"/>
      <c r="N10" s="3"/>
    </row>
    <row r="11" spans="1:14" ht="34.9" customHeight="1">
      <c r="A11" s="23">
        <v>8</v>
      </c>
      <c r="B11" s="25" t="s">
        <v>16</v>
      </c>
      <c r="C11" s="31" t="s">
        <v>54</v>
      </c>
      <c r="D11" s="21">
        <v>62748</v>
      </c>
      <c r="E11" s="29">
        <v>800</v>
      </c>
      <c r="F11" s="29">
        <v>400</v>
      </c>
      <c r="G11" s="29">
        <v>50</v>
      </c>
      <c r="H11" s="29">
        <v>15</v>
      </c>
      <c r="I11" s="29">
        <f>AVERAGE(25,25,93,25,25,25,68,25,47)</f>
        <v>39.77777777777778</v>
      </c>
      <c r="J11" s="29">
        <f>AVERAGE(5,5,91,5,5,5,100,5,17)</f>
        <v>26.444444444444443</v>
      </c>
      <c r="K11" s="29">
        <f>AVERAGE(3.91,1.7,13.99,1.26,0.84,0.67,20.55,5.96,2.3)</f>
        <v>5.6866666666666665</v>
      </c>
      <c r="L11" s="29">
        <f>AVERAGE(3.296,0.1,2.347,2.32,0.832,0.932,0.343,0.323,0.114)</f>
        <v>1.1785555555555558</v>
      </c>
      <c r="M11" s="56"/>
      <c r="N11" s="3"/>
    </row>
    <row r="12" spans="1:14" ht="34.9" customHeight="1">
      <c r="A12" s="23">
        <v>9</v>
      </c>
      <c r="B12" s="25" t="s">
        <v>56</v>
      </c>
      <c r="C12" s="31" t="s">
        <v>54</v>
      </c>
      <c r="D12" s="21">
        <v>15392</v>
      </c>
      <c r="E12" s="29">
        <v>800</v>
      </c>
      <c r="F12" s="29">
        <v>400</v>
      </c>
      <c r="G12" s="29">
        <v>50</v>
      </c>
      <c r="H12" s="29">
        <v>15</v>
      </c>
      <c r="I12" s="29">
        <f>AVERAGE(28,25)</f>
        <v>26.50</v>
      </c>
      <c r="J12" s="29">
        <f>AVERAGE(5,5)</f>
        <v>5</v>
      </c>
      <c r="K12" s="29">
        <f>AVERAGE(2.38,1.34)</f>
        <v>1.86</v>
      </c>
      <c r="L12" s="29">
        <f>AVERAGE(0.453,0.1)</f>
        <v>0.2765</v>
      </c>
      <c r="M12" s="56"/>
      <c r="N12" s="3"/>
    </row>
    <row r="13" spans="1:14" ht="34.9" customHeight="1">
      <c r="A13" s="23">
        <v>10</v>
      </c>
      <c r="B13" s="25" t="s">
        <v>57</v>
      </c>
      <c r="C13" s="31" t="s">
        <v>54</v>
      </c>
      <c r="D13" s="21">
        <v>15392</v>
      </c>
      <c r="E13" s="29">
        <v>800</v>
      </c>
      <c r="F13" s="29">
        <v>400</v>
      </c>
      <c r="G13" s="29">
        <v>50</v>
      </c>
      <c r="H13" s="29">
        <v>15</v>
      </c>
      <c r="I13" s="29">
        <f>AVERAGE(25,25)</f>
        <v>25</v>
      </c>
      <c r="J13" s="29">
        <f>AVERAGE(5,5)</f>
        <v>5</v>
      </c>
      <c r="K13" s="29">
        <f>AVERAGE(3.09,1.44)</f>
        <v>2.2649999999999997</v>
      </c>
      <c r="L13" s="29">
        <f>AVERAGE(0.184,0.1)</f>
        <v>0.14200000000000002</v>
      </c>
      <c r="M13" s="56"/>
      <c r="N13" s="3"/>
    </row>
    <row r="14" spans="1:14" ht="34.9" customHeight="1">
      <c r="A14" s="23">
        <v>11</v>
      </c>
      <c r="B14" s="25" t="s">
        <v>48</v>
      </c>
      <c r="C14" s="31" t="s">
        <v>54</v>
      </c>
      <c r="D14" s="21">
        <v>2237</v>
      </c>
      <c r="E14" s="29">
        <v>800</v>
      </c>
      <c r="F14" s="29">
        <v>400</v>
      </c>
      <c r="G14" s="29">
        <v>50</v>
      </c>
      <c r="H14" s="29">
        <v>15</v>
      </c>
      <c r="I14" s="29">
        <f>AVERAGE(650,380,457)</f>
        <v>495.6666666666667</v>
      </c>
      <c r="J14" s="29">
        <f>AVERAGE(116,117.1,51)</f>
        <v>94.70</v>
      </c>
      <c r="K14" s="29">
        <f>AVERAGE(128.75,85.27,123.58)</f>
        <v>112.53333333333332</v>
      </c>
      <c r="L14" s="29">
        <f>AVERAGE(15.621,9.405,12.37)</f>
        <v>12.465333333333334</v>
      </c>
      <c r="M14" s="56"/>
      <c r="N14" s="3"/>
    </row>
    <row r="15" spans="1:14" ht="34.9" customHeight="1">
      <c r="A15" s="23">
        <v>12</v>
      </c>
      <c r="B15" s="25" t="s">
        <v>49</v>
      </c>
      <c r="C15" s="28" t="s">
        <v>13</v>
      </c>
      <c r="D15" s="21">
        <v>102</v>
      </c>
      <c r="E15" s="29">
        <v>800</v>
      </c>
      <c r="F15" s="29">
        <v>400</v>
      </c>
      <c r="G15" s="29">
        <v>50</v>
      </c>
      <c r="H15" s="29">
        <v>15</v>
      </c>
      <c r="I15" s="23">
        <f>AVERAGE(5542,1195,5005,1070)</f>
        <v>3203</v>
      </c>
      <c r="J15" s="23">
        <f>AVERAGE(2600,530,836,522)</f>
        <v>1122</v>
      </c>
      <c r="K15" s="23">
        <f>AVERAGE(126.96,39.42,198.75,37.54)</f>
        <v>100.6675</v>
      </c>
      <c r="L15" s="23">
        <f>AVERAGE(24.392,4.549,23.92,5.294)</f>
        <v>14.53875</v>
      </c>
      <c r="M15" s="56"/>
      <c r="N15" s="3"/>
    </row>
    <row r="16" spans="1:13" ht="44.5" customHeight="1">
      <c r="A16" s="23">
        <v>13</v>
      </c>
      <c r="B16" s="25" t="s">
        <v>66</v>
      </c>
      <c r="C16" s="30" t="s">
        <v>52</v>
      </c>
      <c r="D16" s="21">
        <v>2501.40</v>
      </c>
      <c r="E16" s="42"/>
      <c r="F16" s="42"/>
      <c r="G16" s="42"/>
      <c r="H16" s="42"/>
      <c r="I16" s="42">
        <f>AVERAGE(6598,717,221)</f>
        <v>2512</v>
      </c>
      <c r="J16" s="42">
        <f>AVERAGE(3777,34,13)</f>
        <v>1274.6666666666667</v>
      </c>
      <c r="K16" s="42">
        <f>AVERAGE(330,215.16,73.81)</f>
        <v>206.32333333333335</v>
      </c>
      <c r="L16" s="42">
        <f>AVERAGE(138.819,28.578,11.17)</f>
        <v>59.52233333333333</v>
      </c>
      <c r="M16" s="56"/>
    </row>
    <row r="17" spans="1:12" ht="14">
      <c r="A17" s="57" t="s">
        <v>79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</row>
  </sheetData>
  <autoFilter ref="A3:L16"/>
  <mergeCells count="6">
    <mergeCell ref="A17:L17"/>
    <mergeCell ref="I2:L2"/>
    <mergeCell ref="E2:H2"/>
    <mergeCell ref="A2:D2"/>
    <mergeCell ref="A1:L1"/>
    <mergeCell ref="M2:M16"/>
  </mergeCells>
  <dataValidations count="1">
    <dataValidation type="list" allowBlank="1" showInputMessage="1" showErrorMessage="1" sqref="C4:C16">
      <formula1>#REF!</formula1>
    </dataValidation>
  </dataValidations>
  <pageMargins left="0.7" right="0.7" top="0.75" bottom="0.75" header="0.3" footer="0.3"/>
  <pageSetup orientation="portrait" paperSize="1" r:id="rId3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1"/>
  <sheetViews>
    <sheetView rightToLeft="1" zoomScale="80" zoomScaleNormal="80" workbookViewId="0" topLeftCell="A1">
      <selection pane="topLeft" activeCell="I2" sqref="I2"/>
    </sheetView>
  </sheetViews>
  <sheetFormatPr defaultRowHeight="14"/>
  <cols>
    <col min="1" max="1" width="11.5" customWidth="1"/>
    <col min="2" max="2" width="29.25" customWidth="1"/>
    <col min="3" max="3" width="51.75" customWidth="1"/>
    <col min="4" max="4" width="26" customWidth="1"/>
    <col min="5" max="5" width="15.125" customWidth="1"/>
    <col min="6" max="6" width="21.25" customWidth="1"/>
    <col min="7" max="7" width="16.5" customWidth="1"/>
    <col min="8" max="8" width="15.625" customWidth="1"/>
  </cols>
  <sheetData>
    <row r="1" spans="1:7" ht="14">
      <c r="A1" s="58" t="s">
        <v>77</v>
      </c>
      <c r="B1" s="58"/>
      <c r="C1" s="58"/>
      <c r="D1" s="58"/>
      <c r="E1" s="58"/>
      <c r="F1" s="58"/>
      <c r="G1" s="58"/>
    </row>
    <row r="2" spans="1:9" ht="14">
      <c r="A2" s="9" t="s">
        <v>30</v>
      </c>
      <c r="B2" s="9" t="s">
        <v>1</v>
      </c>
      <c r="C2" s="9" t="s">
        <v>31</v>
      </c>
      <c r="D2" s="9" t="s">
        <v>36</v>
      </c>
      <c r="E2" s="9" t="s">
        <v>37</v>
      </c>
      <c r="F2" s="9" t="s">
        <v>38</v>
      </c>
      <c r="G2" s="9" t="s">
        <v>39</v>
      </c>
      <c r="H2" s="60" t="s">
        <v>78</v>
      </c>
      <c r="I2" s="1"/>
    </row>
    <row r="3" spans="1:9" ht="25.15" customHeight="1">
      <c r="A3" s="32">
        <v>1</v>
      </c>
      <c r="B3" s="33" t="s">
        <v>22</v>
      </c>
      <c r="C3" s="34" t="s">
        <v>15</v>
      </c>
      <c r="D3" s="32">
        <v>248</v>
      </c>
      <c r="E3" s="35">
        <v>45368</v>
      </c>
      <c r="F3" s="32" t="s">
        <v>64</v>
      </c>
      <c r="G3" s="36">
        <v>4.38</v>
      </c>
      <c r="H3" s="60"/>
      <c r="I3" s="3"/>
    </row>
    <row r="4" spans="1:9" ht="25.15" customHeight="1">
      <c r="A4" s="32">
        <v>2</v>
      </c>
      <c r="B4" s="33" t="s">
        <v>22</v>
      </c>
      <c r="C4" s="34" t="s">
        <v>15</v>
      </c>
      <c r="D4" s="32">
        <v>248</v>
      </c>
      <c r="E4" s="35">
        <v>45368</v>
      </c>
      <c r="F4" s="32" t="s">
        <v>60</v>
      </c>
      <c r="G4" s="32">
        <v>244.315</v>
      </c>
      <c r="H4" s="60"/>
      <c r="I4" s="3"/>
    </row>
    <row r="5" spans="1:9" ht="25.15" customHeight="1">
      <c r="A5" s="32">
        <v>3</v>
      </c>
      <c r="B5" s="33" t="s">
        <v>24</v>
      </c>
      <c r="C5" s="37" t="s">
        <v>53</v>
      </c>
      <c r="D5" s="32">
        <v>8574</v>
      </c>
      <c r="E5" s="35">
        <v>45368</v>
      </c>
      <c r="F5" s="32" t="s">
        <v>61</v>
      </c>
      <c r="G5" s="32">
        <v>484.50</v>
      </c>
      <c r="H5" s="60"/>
      <c r="I5" s="3"/>
    </row>
    <row r="6" spans="1:9" ht="25.15" customHeight="1">
      <c r="A6" s="32">
        <v>4</v>
      </c>
      <c r="B6" s="33" t="s">
        <v>24</v>
      </c>
      <c r="C6" s="37" t="s">
        <v>53</v>
      </c>
      <c r="D6" s="32">
        <v>8574</v>
      </c>
      <c r="E6" s="35">
        <v>45368</v>
      </c>
      <c r="F6" s="32" t="s">
        <v>62</v>
      </c>
      <c r="G6" s="32">
        <v>126</v>
      </c>
      <c r="H6" s="60"/>
      <c r="I6" s="3"/>
    </row>
    <row r="7" spans="1:9" ht="25.15" customHeight="1">
      <c r="A7" s="32">
        <v>5</v>
      </c>
      <c r="B7" s="38" t="s">
        <v>16</v>
      </c>
      <c r="C7" s="39" t="s">
        <v>54</v>
      </c>
      <c r="D7" s="32">
        <v>11304</v>
      </c>
      <c r="E7" s="35">
        <v>45418</v>
      </c>
      <c r="F7" s="32" t="s">
        <v>60</v>
      </c>
      <c r="G7" s="32">
        <v>295.70</v>
      </c>
      <c r="H7" s="60"/>
      <c r="I7" s="3"/>
    </row>
    <row r="8" spans="1:9" ht="25.15" customHeight="1">
      <c r="A8" s="32">
        <v>6</v>
      </c>
      <c r="B8" s="33" t="s">
        <v>27</v>
      </c>
      <c r="C8" s="34" t="s">
        <v>15</v>
      </c>
      <c r="D8" s="32" t="s">
        <v>67</v>
      </c>
      <c r="E8" s="35">
        <v>45448</v>
      </c>
      <c r="F8" s="32" t="s">
        <v>64</v>
      </c>
      <c r="G8" s="32">
        <v>4.93</v>
      </c>
      <c r="H8" s="60"/>
      <c r="I8" s="3"/>
    </row>
    <row r="9" spans="1:9" ht="25.15" customHeight="1">
      <c r="A9" s="32">
        <v>7</v>
      </c>
      <c r="B9" s="33" t="s">
        <v>22</v>
      </c>
      <c r="C9" s="34" t="s">
        <v>15</v>
      </c>
      <c r="D9" s="32">
        <v>474</v>
      </c>
      <c r="E9" s="35">
        <v>45448</v>
      </c>
      <c r="F9" s="32" t="s">
        <v>60</v>
      </c>
      <c r="G9" s="32">
        <v>244.83</v>
      </c>
      <c r="H9" s="60"/>
      <c r="I9" s="3"/>
    </row>
    <row r="10" spans="1:9" ht="25.15" customHeight="1">
      <c r="A10" s="32">
        <v>8</v>
      </c>
      <c r="B10" s="33" t="s">
        <v>22</v>
      </c>
      <c r="C10" s="34" t="s">
        <v>15</v>
      </c>
      <c r="D10" s="32">
        <v>474</v>
      </c>
      <c r="E10" s="35">
        <v>45448</v>
      </c>
      <c r="F10" s="32" t="s">
        <v>64</v>
      </c>
      <c r="G10" s="32">
        <v>4.4</v>
      </c>
      <c r="H10" s="60"/>
      <c r="I10" s="3"/>
    </row>
    <row r="11" spans="1:9" ht="25.15" customHeight="1">
      <c r="A11" s="32">
        <v>9</v>
      </c>
      <c r="B11" s="33" t="s">
        <v>24</v>
      </c>
      <c r="C11" s="37" t="s">
        <v>53</v>
      </c>
      <c r="D11" s="32">
        <v>2094</v>
      </c>
      <c r="E11" s="35">
        <v>45463</v>
      </c>
      <c r="F11" s="32" t="s">
        <v>60</v>
      </c>
      <c r="G11" s="32">
        <v>255.59</v>
      </c>
      <c r="H11" s="60"/>
      <c r="I11" s="3"/>
    </row>
    <row r="12" spans="1:9" ht="25.15" customHeight="1">
      <c r="A12" s="32">
        <v>10</v>
      </c>
      <c r="B12" s="38" t="s">
        <v>16</v>
      </c>
      <c r="C12" s="39" t="s">
        <v>54</v>
      </c>
      <c r="D12" s="32">
        <v>13924</v>
      </c>
      <c r="E12" s="35">
        <v>45481</v>
      </c>
      <c r="F12" s="32" t="s">
        <v>60</v>
      </c>
      <c r="G12" s="32">
        <v>275.77</v>
      </c>
      <c r="H12" s="60"/>
      <c r="I12" s="3"/>
    </row>
    <row r="13" spans="1:9" ht="25.15" customHeight="1">
      <c r="A13" s="32">
        <v>11</v>
      </c>
      <c r="B13" s="38" t="s">
        <v>16</v>
      </c>
      <c r="C13" s="39" t="s">
        <v>54</v>
      </c>
      <c r="D13" s="32">
        <v>18027</v>
      </c>
      <c r="E13" s="35">
        <v>45544</v>
      </c>
      <c r="F13" s="32" t="s">
        <v>60</v>
      </c>
      <c r="G13" s="32">
        <v>278</v>
      </c>
      <c r="H13" s="60"/>
      <c r="I13" s="3"/>
    </row>
    <row r="14" spans="1:9" ht="25.15" customHeight="1">
      <c r="A14" s="32">
        <v>12</v>
      </c>
      <c r="B14" s="33" t="s">
        <v>22</v>
      </c>
      <c r="C14" s="34" t="s">
        <v>15</v>
      </c>
      <c r="D14" s="32">
        <v>504</v>
      </c>
      <c r="E14" s="35">
        <v>45544</v>
      </c>
      <c r="F14" s="32" t="s">
        <v>64</v>
      </c>
      <c r="G14" s="32">
        <v>4.94</v>
      </c>
      <c r="H14" s="60"/>
      <c r="I14" s="3"/>
    </row>
    <row r="15" spans="1:9" ht="25.15" customHeight="1">
      <c r="A15" s="32">
        <v>13</v>
      </c>
      <c r="B15" s="33" t="s">
        <v>22</v>
      </c>
      <c r="C15" s="34" t="s">
        <v>15</v>
      </c>
      <c r="D15" s="32">
        <v>504</v>
      </c>
      <c r="E15" s="35">
        <v>45544</v>
      </c>
      <c r="F15" s="32" t="s">
        <v>61</v>
      </c>
      <c r="G15" s="32">
        <v>410.50</v>
      </c>
      <c r="H15" s="60"/>
      <c r="I15" s="3"/>
    </row>
    <row r="16" spans="1:9" ht="25.15" customHeight="1">
      <c r="A16" s="32">
        <v>14</v>
      </c>
      <c r="B16" s="33" t="s">
        <v>24</v>
      </c>
      <c r="C16" s="37" t="s">
        <v>53</v>
      </c>
      <c r="D16" s="32">
        <v>3637</v>
      </c>
      <c r="E16" s="35">
        <v>45565</v>
      </c>
      <c r="F16" s="32" t="s">
        <v>62</v>
      </c>
      <c r="G16" s="32">
        <v>38.50</v>
      </c>
      <c r="H16" s="60"/>
      <c r="I16" s="3"/>
    </row>
    <row r="17" spans="1:9" ht="25.15" customHeight="1">
      <c r="A17" s="32">
        <v>15</v>
      </c>
      <c r="B17" s="33" t="s">
        <v>24</v>
      </c>
      <c r="C17" s="37" t="s">
        <v>53</v>
      </c>
      <c r="D17" s="32">
        <v>3637</v>
      </c>
      <c r="E17" s="35">
        <v>45565</v>
      </c>
      <c r="F17" s="32" t="s">
        <v>60</v>
      </c>
      <c r="G17" s="32">
        <v>354.90</v>
      </c>
      <c r="H17" s="60"/>
      <c r="I17" s="3"/>
    </row>
    <row r="18" spans="1:9" ht="25.15" customHeight="1">
      <c r="A18" s="32">
        <v>16</v>
      </c>
      <c r="B18" s="38" t="s">
        <v>49</v>
      </c>
      <c r="C18" s="34" t="s">
        <v>13</v>
      </c>
      <c r="D18" s="32">
        <v>10</v>
      </c>
      <c r="E18" s="35">
        <v>45544</v>
      </c>
      <c r="F18" s="40" t="s">
        <v>64</v>
      </c>
      <c r="G18" s="40">
        <v>5.79</v>
      </c>
      <c r="H18" s="60"/>
      <c r="I18" s="3"/>
    </row>
    <row r="19" spans="1:9" ht="25.15" customHeight="1">
      <c r="A19" s="32">
        <v>17</v>
      </c>
      <c r="B19" s="38" t="s">
        <v>16</v>
      </c>
      <c r="C19" s="39" t="s">
        <v>54</v>
      </c>
      <c r="D19" s="32">
        <v>10458</v>
      </c>
      <c r="E19" s="35">
        <v>45637</v>
      </c>
      <c r="F19" s="40" t="s">
        <v>60</v>
      </c>
      <c r="G19" s="40">
        <v>317.6</v>
      </c>
      <c r="H19" s="60"/>
      <c r="I19" s="3"/>
    </row>
    <row r="20" spans="1:8" ht="25.15" customHeight="1">
      <c r="A20" s="32">
        <v>18</v>
      </c>
      <c r="B20" s="33" t="s">
        <v>22</v>
      </c>
      <c r="C20" s="34" t="s">
        <v>15</v>
      </c>
      <c r="D20" s="32">
        <v>504</v>
      </c>
      <c r="E20" s="35">
        <v>45637</v>
      </c>
      <c r="F20" s="32" t="s">
        <v>64</v>
      </c>
      <c r="G20" s="32">
        <v>4.38</v>
      </c>
      <c r="H20" s="60"/>
    </row>
    <row r="21" spans="1:7" ht="14">
      <c r="A21" s="57" t="s">
        <v>79</v>
      </c>
      <c r="B21" s="57"/>
      <c r="C21" s="57"/>
      <c r="D21" s="57"/>
      <c r="E21" s="57"/>
      <c r="F21" s="57"/>
      <c r="G21" s="57"/>
    </row>
  </sheetData>
  <autoFilter ref="A2:G20"/>
  <mergeCells count="3">
    <mergeCell ref="A1:G1"/>
    <mergeCell ref="H2:H20"/>
    <mergeCell ref="A21:G21"/>
  </mergeCells>
  <dataValidations count="1">
    <dataValidation type="list" allowBlank="1" showInputMessage="1" showErrorMessage="1" sqref="C3:C20">
      <formula1>#REF!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1"/>
  <sheetViews>
    <sheetView rightToLeft="1" zoomScale="85" zoomScaleNormal="85" workbookViewId="0" topLeftCell="E1">
      <selection pane="topLeft" activeCell="M2" sqref="M2"/>
    </sheetView>
  </sheetViews>
  <sheetFormatPr defaultRowHeight="14"/>
  <cols>
    <col min="2" max="2" width="23.25" customWidth="1"/>
    <col min="3" max="3" width="17.125" customWidth="1"/>
    <col min="4" max="4" width="17.375" customWidth="1"/>
    <col min="5" max="5" width="17.75" customWidth="1"/>
    <col min="6" max="6" width="9.25" customWidth="1"/>
    <col min="7" max="7" width="14.625" customWidth="1"/>
    <col min="8" max="8" width="15.75" customWidth="1"/>
    <col min="9" max="9" width="20.25" customWidth="1"/>
    <col min="10" max="10" width="24.25" customWidth="1"/>
    <col min="11" max="11" width="72.125" customWidth="1"/>
  </cols>
  <sheetData>
    <row r="1" spans="1:11" ht="14">
      <c r="A1" s="58" t="s">
        <v>77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2" ht="38.15" customHeight="1">
      <c r="A2" s="51" t="s">
        <v>40</v>
      </c>
      <c r="B2" s="53" t="s">
        <v>1</v>
      </c>
      <c r="C2" s="53" t="s">
        <v>5</v>
      </c>
      <c r="D2" s="54" t="s">
        <v>41</v>
      </c>
      <c r="E2" s="55"/>
      <c r="F2" s="54" t="s">
        <v>42</v>
      </c>
      <c r="G2" s="55"/>
      <c r="H2" s="50" t="s">
        <v>43</v>
      </c>
      <c r="I2" s="50"/>
      <c r="J2" s="50" t="s">
        <v>44</v>
      </c>
      <c r="K2" s="50" t="s">
        <v>12</v>
      </c>
      <c r="L2" s="59" t="s">
        <v>78</v>
      </c>
    </row>
    <row r="3" spans="1:12" ht="30.75" customHeight="1">
      <c r="A3" s="52"/>
      <c r="B3" s="53"/>
      <c r="C3" s="53"/>
      <c r="D3" s="10" t="s">
        <v>45</v>
      </c>
      <c r="E3" s="10" t="s">
        <v>46</v>
      </c>
      <c r="F3" s="10" t="s">
        <v>45</v>
      </c>
      <c r="G3" s="10" t="s">
        <v>46</v>
      </c>
      <c r="H3" s="11" t="s">
        <v>45</v>
      </c>
      <c r="I3" s="11" t="s">
        <v>46</v>
      </c>
      <c r="J3" s="50"/>
      <c r="K3" s="50"/>
      <c r="L3" s="59"/>
    </row>
    <row r="4" spans="1:12" ht="25.15" customHeight="1">
      <c r="A4" s="23">
        <v>1</v>
      </c>
      <c r="B4" s="24" t="s">
        <v>22</v>
      </c>
      <c r="C4" s="21">
        <v>3024</v>
      </c>
      <c r="D4" s="26">
        <f>756+756</f>
        <v>1512</v>
      </c>
      <c r="E4" s="26">
        <f>4086.18+2249.1</f>
        <v>6335.28</v>
      </c>
      <c r="F4" s="26"/>
      <c r="G4" s="26"/>
      <c r="H4" s="26">
        <f>365.9+632+756+756</f>
        <v>2509.90</v>
      </c>
      <c r="I4" s="26">
        <f>49.39+366.56+218.19+192</f>
        <v>826.14</v>
      </c>
      <c r="J4" s="43">
        <f>E4+I4</f>
        <v>7161.42</v>
      </c>
      <c r="K4" s="26"/>
      <c r="L4" s="59"/>
    </row>
    <row r="5" spans="1:12" ht="25.15" customHeight="1">
      <c r="A5" s="23">
        <v>2</v>
      </c>
      <c r="B5" s="24" t="s">
        <v>27</v>
      </c>
      <c r="C5" s="21" t="s">
        <v>63</v>
      </c>
      <c r="D5" s="26"/>
      <c r="E5" s="26"/>
      <c r="F5" s="26"/>
      <c r="G5" s="26"/>
      <c r="H5" s="26"/>
      <c r="I5" s="26"/>
      <c r="J5" s="43">
        <f t="shared" si="0" ref="J5:J16">E5+I5</f>
        <v>0</v>
      </c>
      <c r="K5" s="26" t="s">
        <v>74</v>
      </c>
      <c r="L5" s="59"/>
    </row>
    <row r="6" spans="1:12" ht="25.15" customHeight="1">
      <c r="A6" s="23">
        <v>3</v>
      </c>
      <c r="B6" s="24" t="s">
        <v>25</v>
      </c>
      <c r="C6" s="21">
        <v>14004</v>
      </c>
      <c r="D6" s="26"/>
      <c r="E6" s="26"/>
      <c r="F6" s="26"/>
      <c r="G6" s="26"/>
      <c r="H6" s="26">
        <f>3443.58</f>
        <v>3443.58</v>
      </c>
      <c r="I6" s="26">
        <f>1487.62</f>
        <v>1487.62</v>
      </c>
      <c r="J6" s="43">
        <f t="shared" si="0"/>
        <v>1487.62</v>
      </c>
      <c r="K6" s="26"/>
      <c r="L6" s="59"/>
    </row>
    <row r="7" spans="1:12" ht="25.15" customHeight="1">
      <c r="A7" s="23">
        <v>4</v>
      </c>
      <c r="B7" s="24" t="s">
        <v>21</v>
      </c>
      <c r="C7" s="21">
        <v>4692</v>
      </c>
      <c r="D7" s="26"/>
      <c r="E7" s="26"/>
      <c r="F7" s="26"/>
      <c r="G7" s="26"/>
      <c r="H7" s="26"/>
      <c r="I7" s="26"/>
      <c r="J7" s="43">
        <f t="shared" si="0"/>
        <v>0</v>
      </c>
      <c r="K7" s="25" t="s">
        <v>68</v>
      </c>
      <c r="L7" s="59"/>
    </row>
    <row r="8" spans="1:12" ht="25.15" customHeight="1">
      <c r="A8" s="23">
        <v>5</v>
      </c>
      <c r="B8" s="24" t="s">
        <v>20</v>
      </c>
      <c r="C8" s="21">
        <v>59994</v>
      </c>
      <c r="D8" s="26"/>
      <c r="E8" s="26"/>
      <c r="F8" s="26"/>
      <c r="G8" s="26"/>
      <c r="H8" s="26">
        <f>14639.46+7499.25</f>
        <v>22138.71</v>
      </c>
      <c r="I8" s="26">
        <f>614.85+1972.3</f>
        <v>2587.15</v>
      </c>
      <c r="J8" s="43">
        <f t="shared" si="0"/>
        <v>2587.15</v>
      </c>
      <c r="K8" s="26"/>
      <c r="L8" s="59"/>
    </row>
    <row r="9" spans="1:12" ht="25.15" customHeight="1">
      <c r="A9" s="23">
        <v>6</v>
      </c>
      <c r="B9" s="24" t="s">
        <v>18</v>
      </c>
      <c r="C9" s="21">
        <v>13392</v>
      </c>
      <c r="D9" s="26"/>
      <c r="E9" s="26"/>
      <c r="F9" s="26"/>
      <c r="G9" s="26"/>
      <c r="H9" s="26">
        <f>1649.51+1756.5+2343.6</f>
        <v>5749.610000000001</v>
      </c>
      <c r="I9" s="26">
        <f>10954.39+3950.36+2852.16</f>
        <v>17756.91</v>
      </c>
      <c r="J9" s="43">
        <f t="shared" si="0"/>
        <v>17756.91</v>
      </c>
      <c r="K9" s="26"/>
      <c r="L9" s="59"/>
    </row>
    <row r="10" spans="1:12" ht="25.15" customHeight="1">
      <c r="A10" s="23">
        <v>7</v>
      </c>
      <c r="B10" s="24" t="s">
        <v>24</v>
      </c>
      <c r="C10" s="21">
        <v>22242</v>
      </c>
      <c r="D10" s="26">
        <f>12650.13+5366.07</f>
        <v>18016.199999999997</v>
      </c>
      <c r="E10" s="26">
        <f>153193.07+36207.96</f>
        <v>189401.03</v>
      </c>
      <c r="F10" s="26"/>
      <c r="G10" s="26"/>
      <c r="H10" s="26">
        <f>12650.13+5366.07+4448.37</f>
        <v>22464.569999999996</v>
      </c>
      <c r="I10" s="26">
        <f>24514.49+413.26+3781.11</f>
        <v>28708.86</v>
      </c>
      <c r="J10" s="43">
        <f t="shared" si="0"/>
        <v>218109.89</v>
      </c>
      <c r="K10" s="26"/>
      <c r="L10" s="59"/>
    </row>
    <row r="11" spans="1:12" ht="25.15" customHeight="1">
      <c r="A11" s="23">
        <v>8</v>
      </c>
      <c r="B11" s="25" t="s">
        <v>16</v>
      </c>
      <c r="C11" s="21">
        <v>62748</v>
      </c>
      <c r="D11" s="26">
        <f>2682.3+2440.2</f>
        <v>5122.50</v>
      </c>
      <c r="E11" s="26">
        <f>1056.82+1033.42</f>
        <v>2090.24</v>
      </c>
      <c r="F11" s="26"/>
      <c r="G11" s="26"/>
      <c r="H11" s="26"/>
      <c r="I11" s="26"/>
      <c r="J11" s="43">
        <f t="shared" si="0"/>
        <v>2090.24</v>
      </c>
      <c r="K11" s="25"/>
      <c r="L11" s="59"/>
    </row>
    <row r="12" spans="1:12" ht="25.15" customHeight="1">
      <c r="A12" s="23">
        <v>9</v>
      </c>
      <c r="B12" s="25" t="s">
        <v>56</v>
      </c>
      <c r="C12" s="21">
        <v>15392</v>
      </c>
      <c r="D12" s="26"/>
      <c r="E12" s="26"/>
      <c r="F12" s="26"/>
      <c r="G12" s="26"/>
      <c r="H12" s="26"/>
      <c r="I12" s="26"/>
      <c r="J12" s="43">
        <f t="shared" si="0"/>
        <v>0</v>
      </c>
      <c r="K12" s="26" t="s">
        <v>75</v>
      </c>
      <c r="L12" s="59"/>
    </row>
    <row r="13" spans="1:12" ht="25.15" customHeight="1">
      <c r="A13" s="23">
        <v>10</v>
      </c>
      <c r="B13" s="25" t="s">
        <v>57</v>
      </c>
      <c r="C13" s="21">
        <v>15392</v>
      </c>
      <c r="D13" s="26"/>
      <c r="E13" s="26"/>
      <c r="F13" s="26"/>
      <c r="G13" s="26"/>
      <c r="H13" s="26"/>
      <c r="I13" s="26"/>
      <c r="J13" s="43">
        <f t="shared" si="0"/>
        <v>0</v>
      </c>
      <c r="K13" s="26" t="s">
        <v>75</v>
      </c>
      <c r="L13" s="59"/>
    </row>
    <row r="14" spans="1:12" ht="25.15" customHeight="1">
      <c r="A14" s="23">
        <v>11</v>
      </c>
      <c r="B14" s="25" t="s">
        <v>48</v>
      </c>
      <c r="C14" s="21">
        <v>2237</v>
      </c>
      <c r="D14" s="26"/>
      <c r="E14" s="26"/>
      <c r="F14" s="26"/>
      <c r="G14" s="26"/>
      <c r="H14" s="26"/>
      <c r="I14" s="26"/>
      <c r="J14" s="43">
        <f t="shared" si="0"/>
        <v>0</v>
      </c>
      <c r="K14" s="25" t="s">
        <v>76</v>
      </c>
      <c r="L14" s="59"/>
    </row>
    <row r="15" spans="1:12" ht="25.15" customHeight="1">
      <c r="A15" s="23">
        <v>12</v>
      </c>
      <c r="B15" s="25" t="s">
        <v>49</v>
      </c>
      <c r="C15" s="21">
        <v>102</v>
      </c>
      <c r="D15" s="23"/>
      <c r="E15" s="23"/>
      <c r="F15" s="23"/>
      <c r="G15" s="23"/>
      <c r="H15" s="23">
        <f>73.77+7.5</f>
        <v>81.27</v>
      </c>
      <c r="I15" s="23">
        <f>239.07+15.64</f>
        <v>254.70999999999998</v>
      </c>
      <c r="J15" s="43">
        <f t="shared" si="0"/>
        <v>254.70999999999998</v>
      </c>
      <c r="K15" s="41"/>
      <c r="L15" s="59"/>
    </row>
    <row r="16" spans="1:12" ht="25.15" customHeight="1">
      <c r="A16" s="23">
        <v>13</v>
      </c>
      <c r="B16" s="25" t="s">
        <v>66</v>
      </c>
      <c r="C16" s="21">
        <v>2501.40</v>
      </c>
      <c r="D16" s="42"/>
      <c r="E16" s="42"/>
      <c r="F16" s="42"/>
      <c r="G16" s="42"/>
      <c r="H16" s="42">
        <f>240</f>
        <v>240</v>
      </c>
      <c r="I16" s="42">
        <f>70.8</f>
        <v>70.80</v>
      </c>
      <c r="J16" s="43">
        <f t="shared" si="0"/>
        <v>70.80</v>
      </c>
      <c r="K16" s="42"/>
      <c r="L16" s="59"/>
    </row>
    <row r="17" spans="1:11" ht="14">
      <c r="A17" s="57" t="s">
        <v>79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</row>
    <row r="18" spans="9:10" ht="42">
      <c r="I18" s="14" t="s">
        <v>47</v>
      </c>
      <c r="J18" s="15">
        <f>SUM(J4:J15)</f>
        <v>249447.94</v>
      </c>
    </row>
    <row r="20" spans="9:10" ht="42">
      <c r="I20" s="14" t="s">
        <v>65</v>
      </c>
      <c r="J20" s="15">
        <f>J18*1.17</f>
        <v>291854.08979999996</v>
      </c>
    </row>
    <row r="21" spans="1:11" ht="14">
      <c r="A21" s="56" t="s">
        <v>80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</row>
  </sheetData>
  <autoFilter ref="A2:K16">
    <filterColumn colId="3" showButton="0"/>
    <filterColumn colId="5" showButton="0"/>
    <filterColumn colId="7" showButton="0"/>
  </autoFilter>
  <mergeCells count="12">
    <mergeCell ref="A1:K1"/>
    <mergeCell ref="L2:L16"/>
    <mergeCell ref="A21:K21"/>
    <mergeCell ref="A17:K17"/>
    <mergeCell ref="J2:J3"/>
    <mergeCell ref="K2:K3"/>
    <mergeCell ref="A2:A3"/>
    <mergeCell ref="B2:B3"/>
    <mergeCell ref="C2:C3"/>
    <mergeCell ref="D2:E2"/>
    <mergeCell ref="F2:G2"/>
    <mergeCell ref="H2:I2"/>
  </mergeCells>
  <pageMargins left="0.7" right="0.7" top="0.75" bottom="0.75" header="0.3" footer="0.3"/>
  <pageSetup orientation="portrait" paperSize="1" r:id="rId3"/>
  <legacyDrawing r:id="rId2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55784b-2861-44c8-b389-28d4ec1e6d37">
      <Terms xmlns="http://schemas.microsoft.com/office/infopath/2007/PartnerControls"/>
    </lcf76f155ced4ddcb4097134ff3c332f>
    <TaxCatchAll xmlns="6abd3605-b4fb-48f2-abb5-af8476e535c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98913916AE4C964C90B714F95F743493" ma:contentTypeVersion="19" ma:contentTypeDescription="צור מסמך חדש." ma:contentTypeScope="" ma:versionID="70ec65c4c85a2f550a1029788857d36f">
  <xsd:schema xmlns:xsd="http://www.w3.org/2001/XMLSchema" xmlns:xs="http://www.w3.org/2001/XMLSchema" xmlns:p="http://schemas.microsoft.com/office/2006/metadata/properties" xmlns:ns2="9e55784b-2861-44c8-b389-28d4ec1e6d37" xmlns:ns3="6abd3605-b4fb-48f2-abb5-af8476e535c1" targetNamespace="http://schemas.microsoft.com/office/2006/metadata/properties" ma:root="true" ma:fieldsID="887bcf866116441c402f018db97903ea" ns2:_="" ns3:_="">
    <xsd:import namespace="9e55784b-2861-44c8-b389-28d4ec1e6d37"/>
    <xsd:import namespace="6abd3605-b4fb-48f2-abb5-af8476e535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5784b-2861-44c8-b389-28d4ec1e6d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תגיות תמונה" ma:readOnly="false" ma:fieldId="{5cf76f15-5ced-4ddc-b409-7134ff3c332f}" ma:taxonomyMulti="true" ma:sspId="e6147338-aac1-4a2c-a6c0-2124679a35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d3605-b4fb-48f2-abb5-af8476e535c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משותף עם פרטים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caec9bc-049f-4eeb-96c0-d2fb47c08529}" ma:internalName="TaxCatchAll" ma:showField="CatchAllData" ma:web="6abd3605-b4fb-48f2-abb5-af8476e535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BF623C-7112-4253-9276-EBA03A353A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388AA2-3AF1-41F8-AB05-34DBE3F99412}">
  <ds:schemaRefs>
    <ds:schemaRef ds:uri="http://purl.org/dc/terms/"/>
    <ds:schemaRef ds:uri="http://purl.org/dc/dcmitype/"/>
    <ds:schemaRef ds:uri="9e55784b-2861-44c8-b389-28d4ec1e6d37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6abd3605-b4fb-48f2-abb5-af8476e535c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48E7CCF-C1CD-4EBF-9F9D-8AA1392DA6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5784b-2861-44c8-b389-28d4ec1e6d37"/>
    <ds:schemaRef ds:uri="6abd3605-b4fb-48f2-abb5-af8476e535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דיווח דיגומים</vt:lpstr>
      <vt:lpstr>דיווח חריגים</vt:lpstr>
      <vt:lpstr>תוצאות דיגומים אסורים</vt:lpstr>
      <vt:lpstr>דיווח כספי שנתי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Silvi Cohen</cp:lastModifiedBy>
  <dcterms:created xsi:type="dcterms:W3CDTF">2020-04-27T09:27:01Z</dcterms:created>
  <dcterms:modified xsi:type="dcterms:W3CDTF">2025-03-17T12:49:45Z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0x01010098913916AE4C964C90B714F95F743493</vt:lpwstr>
  </property>
  <property fmtid="{D5CDD505-2E9C-101B-9397-08002B2CF9AE}" pid="3" name="MediaServiceImageTags">
    <vt:lpwstr/>
  </property>
</Properties>
</file>